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115" windowHeight="74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Лист1!$A$1:$P$30</definedName>
  </definedNames>
  <calcPr calcId="125725"/>
</workbook>
</file>

<file path=xl/calcChain.xml><?xml version="1.0" encoding="utf-8"?>
<calcChain xmlns="http://schemas.openxmlformats.org/spreadsheetml/2006/main">
  <c r="D4" i="1"/>
  <c r="E4"/>
  <c r="G4"/>
  <c r="N4"/>
  <c r="O4"/>
  <c r="P4" s="1"/>
  <c r="D5"/>
  <c r="E5"/>
  <c r="G5"/>
  <c r="N5"/>
  <c r="O5"/>
  <c r="P5" s="1"/>
  <c r="D6"/>
  <c r="E6"/>
  <c r="F6"/>
  <c r="G6"/>
  <c r="K6"/>
  <c r="N6"/>
  <c r="O6"/>
  <c r="P6" s="1"/>
  <c r="D7"/>
  <c r="G7"/>
  <c r="K7"/>
  <c r="N7"/>
  <c r="O7"/>
  <c r="P7" s="1"/>
  <c r="D8"/>
  <c r="O8" s="1"/>
  <c r="P8" s="1"/>
  <c r="E8"/>
  <c r="G8"/>
  <c r="K8"/>
  <c r="N8"/>
  <c r="D9"/>
  <c r="E9"/>
  <c r="O9" s="1"/>
  <c r="P9" s="1"/>
  <c r="G9"/>
  <c r="N9"/>
  <c r="D10"/>
  <c r="G10"/>
  <c r="O10" s="1"/>
  <c r="P10" s="1"/>
  <c r="K10"/>
  <c r="N10"/>
  <c r="D11"/>
  <c r="G11"/>
  <c r="N11"/>
  <c r="O11"/>
  <c r="P11" s="1"/>
  <c r="D12"/>
  <c r="O12" s="1"/>
  <c r="P12" s="1"/>
  <c r="F12"/>
  <c r="G12"/>
  <c r="K12"/>
  <c r="N12"/>
  <c r="D13"/>
  <c r="E13"/>
  <c r="O13" s="1"/>
  <c r="P13" s="1"/>
  <c r="G13"/>
  <c r="N13"/>
  <c r="D14"/>
  <c r="E14"/>
  <c r="F14"/>
  <c r="G14"/>
  <c r="N14"/>
  <c r="O14"/>
  <c r="P14" s="1"/>
  <c r="D15"/>
  <c r="E15"/>
  <c r="F15"/>
  <c r="G15"/>
  <c r="L15"/>
  <c r="L30" s="1"/>
  <c r="N15"/>
  <c r="O15"/>
  <c r="P15" s="1"/>
  <c r="D17"/>
  <c r="G17"/>
  <c r="N17"/>
  <c r="O17"/>
  <c r="P17" s="1"/>
  <c r="D18"/>
  <c r="E18"/>
  <c r="G18"/>
  <c r="K18"/>
  <c r="N18"/>
  <c r="O18"/>
  <c r="P18" s="1"/>
  <c r="D19"/>
  <c r="E19"/>
  <c r="G19"/>
  <c r="N19"/>
  <c r="O19"/>
  <c r="P19" s="1"/>
  <c r="D20"/>
  <c r="O20" s="1"/>
  <c r="P20" s="1"/>
  <c r="G20"/>
  <c r="N20"/>
  <c r="D21"/>
  <c r="G21"/>
  <c r="I21"/>
  <c r="K21"/>
  <c r="N21"/>
  <c r="O21"/>
  <c r="P21" s="1"/>
  <c r="D22"/>
  <c r="O22" s="1"/>
  <c r="P22" s="1"/>
  <c r="G22"/>
  <c r="N22"/>
  <c r="D23"/>
  <c r="G23"/>
  <c r="O23" s="1"/>
  <c r="P23" s="1"/>
  <c r="K23"/>
  <c r="N23"/>
  <c r="D24"/>
  <c r="F24"/>
  <c r="O24" s="1"/>
  <c r="P24" s="1"/>
  <c r="G24"/>
  <c r="N24"/>
  <c r="D25"/>
  <c r="G25"/>
  <c r="N25"/>
  <c r="O25"/>
  <c r="P25" s="1"/>
  <c r="D26"/>
  <c r="E26"/>
  <c r="G26"/>
  <c r="N26"/>
  <c r="O26"/>
  <c r="P26" s="1"/>
  <c r="D27"/>
  <c r="G27"/>
  <c r="O27"/>
  <c r="P27" s="1"/>
  <c r="D28"/>
  <c r="O28" s="1"/>
  <c r="P28" s="1"/>
  <c r="G28"/>
  <c r="I28"/>
  <c r="I30" s="1"/>
  <c r="D29"/>
  <c r="G29"/>
  <c r="O29" s="1"/>
  <c r="P29" s="1"/>
  <c r="E16"/>
  <c r="G16"/>
  <c r="O16"/>
  <c r="P16" s="1"/>
  <c r="H30"/>
  <c r="K30"/>
  <c r="F30"/>
  <c r="M30"/>
  <c r="N30"/>
  <c r="N16"/>
  <c r="J30"/>
  <c r="I16"/>
  <c r="E30"/>
  <c r="D16"/>
  <c r="D30"/>
  <c r="C30"/>
  <c r="B30"/>
  <c r="P30" l="1"/>
  <c r="G30"/>
  <c r="O30"/>
</calcChain>
</file>

<file path=xl/sharedStrings.xml><?xml version="1.0" encoding="utf-8"?>
<sst xmlns="http://schemas.openxmlformats.org/spreadsheetml/2006/main" count="47" uniqueCount="47">
  <si>
    <t>Виноградський ліцей</t>
  </si>
  <si>
    <t>Воронський ліцей</t>
  </si>
  <si>
    <t>Ковалівський ліцей</t>
  </si>
  <si>
    <t>Корницький ліцей</t>
  </si>
  <si>
    <t>Ліснохлібичинський ліцей</t>
  </si>
  <si>
    <t>Підгайчиківський ліцей</t>
  </si>
  <si>
    <t>Раківчицький ліцей</t>
  </si>
  <si>
    <t>Спаський ліцей</t>
  </si>
  <si>
    <t>Струпківський ліцей</t>
  </si>
  <si>
    <t>Торговицький ліцей</t>
  </si>
  <si>
    <t>Гвіздецький ліцей</t>
  </si>
  <si>
    <t>Отинійський ліцей</t>
  </si>
  <si>
    <t>Голосківська гімназія</t>
  </si>
  <si>
    <t>Грабицька гімназія</t>
  </si>
  <si>
    <t>Джурківський ліцей</t>
  </si>
  <si>
    <t>Загайпільська гімназія</t>
  </si>
  <si>
    <t>Ліснослобідська гімназія</t>
  </si>
  <si>
    <t>Сідлищанська гімназія</t>
  </si>
  <si>
    <t>Спаська гімназія</t>
  </si>
  <si>
    <t>Старогвіздецька гімназія</t>
  </si>
  <si>
    <t>Угорницька гімназія</t>
  </si>
  <si>
    <t>Ценявська гімназія</t>
  </si>
  <si>
    <t>Черемхівська гімназія</t>
  </si>
  <si>
    <t>Закрівецька поч.шк.</t>
  </si>
  <si>
    <t>Молодилівська поч.шк.</t>
  </si>
  <si>
    <t>Назірнянська поч.шк.</t>
  </si>
  <si>
    <t>К-сть учнів</t>
  </si>
  <si>
    <t>З/п вчителів</t>
  </si>
  <si>
    <t>З/п тех.прац.</t>
  </si>
  <si>
    <t>Заробітна плата</t>
  </si>
  <si>
    <t>Тепло</t>
  </si>
  <si>
    <t>Вода</t>
  </si>
  <si>
    <t>Світло</t>
  </si>
  <si>
    <t>Газ</t>
  </si>
  <si>
    <t>Профдезинф.</t>
  </si>
  <si>
    <t>Комунальні послуги</t>
  </si>
  <si>
    <t>Всього:</t>
  </si>
  <si>
    <t>Викачка нечистот</t>
  </si>
  <si>
    <t>Вивіз сміття</t>
  </si>
  <si>
    <t>Харчування пільгових категорій</t>
  </si>
  <si>
    <t>Послуги охорони</t>
  </si>
  <si>
    <t>Енгергоносії</t>
  </si>
  <si>
    <t>Всього на утримання школи на рік, грн</t>
  </si>
  <si>
    <t>Вартість утрим. 1 учня на рік, грн</t>
  </si>
  <si>
    <t>Розрахунок вартості утримання 1 учня на рік, грн</t>
  </si>
  <si>
    <t>Назва ліцею, гімназії</t>
  </si>
  <si>
    <t>Абонплата+інтернет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</si>
</sst>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/>
    <xf numFmtId="0" fontId="2" fillId="0" borderId="0" xfId="0" applyFont="1"/>
    <xf numFmtId="0" fontId="2" fillId="0" borderId="5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="91" zoomScaleNormal="91" workbookViewId="0">
      <pane xSplit="1" topLeftCell="F1" activePane="topRight" state="frozen"/>
      <selection pane="topRight" activeCell="P11" sqref="P11"/>
    </sheetView>
  </sheetViews>
  <sheetFormatPr defaultRowHeight="15"/>
  <cols>
    <col min="1" max="1" width="25.42578125" customWidth="1"/>
    <col min="2" max="2" width="14.28515625" style="6" customWidth="1"/>
    <col min="3" max="3" width="18.5703125" customWidth="1"/>
    <col min="4" max="4" width="17.42578125" customWidth="1"/>
    <col min="5" max="5" width="14.42578125" customWidth="1"/>
    <col min="6" max="6" width="13.7109375" customWidth="1"/>
    <col min="7" max="7" width="13.5703125" customWidth="1"/>
    <col min="8" max="8" width="13.28515625" customWidth="1"/>
    <col min="9" max="9" width="19.140625" customWidth="1"/>
    <col min="10" max="10" width="13.42578125" customWidth="1"/>
    <col min="11" max="11" width="16.85546875" style="7" customWidth="1"/>
    <col min="12" max="12" width="12.140625" style="7" customWidth="1"/>
    <col min="13" max="13" width="13.140625" style="7" customWidth="1"/>
    <col min="14" max="14" width="14" style="7" customWidth="1"/>
    <col min="15" max="15" width="20.5703125" style="7" customWidth="1"/>
    <col min="16" max="16" width="18.85546875" style="7" customWidth="1"/>
  </cols>
  <sheetData>
    <row r="1" spans="1:16" ht="25.5" customHeight="1">
      <c r="A1" s="16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8"/>
    </row>
    <row r="2" spans="1:16" ht="26.25" customHeight="1">
      <c r="A2" s="19" t="s">
        <v>45</v>
      </c>
      <c r="B2" s="19" t="s">
        <v>26</v>
      </c>
      <c r="C2" s="28" t="s">
        <v>29</v>
      </c>
      <c r="D2" s="28"/>
      <c r="E2" s="23" t="s">
        <v>41</v>
      </c>
      <c r="F2" s="24"/>
      <c r="G2" s="24"/>
      <c r="H2" s="25"/>
      <c r="I2" s="23" t="s">
        <v>35</v>
      </c>
      <c r="J2" s="26"/>
      <c r="K2" s="26"/>
      <c r="L2" s="27"/>
      <c r="M2" s="21" t="s">
        <v>40</v>
      </c>
      <c r="N2" s="21" t="s">
        <v>39</v>
      </c>
      <c r="O2" s="14" t="s">
        <v>42</v>
      </c>
      <c r="P2" s="13" t="s">
        <v>43</v>
      </c>
    </row>
    <row r="3" spans="1:16" s="3" customFormat="1" ht="27.75" customHeight="1">
      <c r="A3" s="20"/>
      <c r="B3" s="29"/>
      <c r="C3" s="5" t="s">
        <v>27</v>
      </c>
      <c r="D3" s="5" t="s">
        <v>28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46</v>
      </c>
      <c r="J3" s="5" t="s">
        <v>34</v>
      </c>
      <c r="K3" s="8" t="s">
        <v>37</v>
      </c>
      <c r="L3" s="8" t="s">
        <v>38</v>
      </c>
      <c r="M3" s="22"/>
      <c r="N3" s="22"/>
      <c r="O3" s="15"/>
      <c r="P3" s="13"/>
    </row>
    <row r="4" spans="1:16">
      <c r="A4" s="1" t="s">
        <v>0</v>
      </c>
      <c r="B4" s="4">
        <v>166</v>
      </c>
      <c r="C4" s="2">
        <v>3049228</v>
      </c>
      <c r="D4" s="2">
        <f>31300*12</f>
        <v>375600</v>
      </c>
      <c r="E4" s="2">
        <f>136068.17*6</f>
        <v>816409.02</v>
      </c>
      <c r="F4" s="2"/>
      <c r="G4" s="2">
        <f>34642.5*2</f>
        <v>69285</v>
      </c>
      <c r="H4" s="2"/>
      <c r="I4" s="2">
        <v>2577</v>
      </c>
      <c r="J4" s="2">
        <v>1208.33</v>
      </c>
      <c r="K4" s="2"/>
      <c r="L4" s="2"/>
      <c r="M4" s="2">
        <v>5400</v>
      </c>
      <c r="N4" s="2">
        <f>7309*9</f>
        <v>65781</v>
      </c>
      <c r="O4" s="2">
        <f>C4+D4+E4+F4+G4+H4+I4+J4+K4+L4+M4+N4</f>
        <v>4385488.3499999996</v>
      </c>
      <c r="P4" s="2">
        <f>O4/B4</f>
        <v>26418.604518072287</v>
      </c>
    </row>
    <row r="5" spans="1:16">
      <c r="A5" s="1" t="s">
        <v>1</v>
      </c>
      <c r="B5" s="4">
        <v>211</v>
      </c>
      <c r="C5" s="2">
        <v>3014872</v>
      </c>
      <c r="D5" s="2">
        <f>33721*12</f>
        <v>404652</v>
      </c>
      <c r="E5" s="2">
        <f>122829.84*6</f>
        <v>736979.04</v>
      </c>
      <c r="F5" s="2"/>
      <c r="G5" s="2">
        <f>59892*2</f>
        <v>119784</v>
      </c>
      <c r="H5" s="2"/>
      <c r="I5" s="2">
        <v>2577</v>
      </c>
      <c r="J5" s="2">
        <v>1916.67</v>
      </c>
      <c r="K5" s="2"/>
      <c r="L5" s="2"/>
      <c r="M5" s="2">
        <v>5400</v>
      </c>
      <c r="N5" s="2">
        <f>4104*9</f>
        <v>36936</v>
      </c>
      <c r="O5" s="2">
        <f t="shared" ref="O5:O29" si="0">C5+D5+E5+F5+G5+H5+I5+J5+K5+L5+M5+N5</f>
        <v>4323116.71</v>
      </c>
      <c r="P5" s="2">
        <f t="shared" ref="P5:P29" si="1">O5/B5</f>
        <v>20488.704786729857</v>
      </c>
    </row>
    <row r="6" spans="1:16">
      <c r="A6" s="1" t="s">
        <v>2</v>
      </c>
      <c r="B6" s="4">
        <v>198</v>
      </c>
      <c r="C6" s="2">
        <v>3846276</v>
      </c>
      <c r="D6" s="2">
        <f>24130*12</f>
        <v>289560</v>
      </c>
      <c r="E6" s="2">
        <f>52673*6</f>
        <v>316038</v>
      </c>
      <c r="F6" s="2">
        <f>627*10</f>
        <v>6270</v>
      </c>
      <c r="G6" s="2">
        <f>21563.6*2</f>
        <v>43127.199999999997</v>
      </c>
      <c r="H6" s="2"/>
      <c r="I6" s="2">
        <v>2577</v>
      </c>
      <c r="J6" s="2">
        <v>3041.67</v>
      </c>
      <c r="K6" s="2">
        <f>1721.66*9</f>
        <v>15494.94</v>
      </c>
      <c r="L6" s="2"/>
      <c r="M6" s="2">
        <v>5400</v>
      </c>
      <c r="N6" s="2">
        <f>3360*9</f>
        <v>30240</v>
      </c>
      <c r="O6" s="2">
        <f t="shared" si="0"/>
        <v>4558024.8100000005</v>
      </c>
      <c r="P6" s="2">
        <f t="shared" si="1"/>
        <v>23020.327323232326</v>
      </c>
    </row>
    <row r="7" spans="1:16">
      <c r="A7" s="1" t="s">
        <v>3</v>
      </c>
      <c r="B7" s="4">
        <v>193</v>
      </c>
      <c r="C7" s="2">
        <v>3398724</v>
      </c>
      <c r="D7" s="2">
        <f>56690*12</f>
        <v>680280</v>
      </c>
      <c r="E7" s="2"/>
      <c r="F7" s="2"/>
      <c r="G7" s="2">
        <f>8456.8*2</f>
        <v>16913.599999999999</v>
      </c>
      <c r="H7" s="2">
        <v>95397.97</v>
      </c>
      <c r="I7" s="2">
        <v>2577</v>
      </c>
      <c r="J7" s="2">
        <v>3291.67</v>
      </c>
      <c r="K7" s="2">
        <f>760*9</f>
        <v>6840</v>
      </c>
      <c r="L7" s="2">
        <v>3777.2</v>
      </c>
      <c r="M7" s="2">
        <v>6600</v>
      </c>
      <c r="N7" s="2">
        <f>8506*9</f>
        <v>76554</v>
      </c>
      <c r="O7" s="2">
        <f t="shared" si="0"/>
        <v>4290955.4400000004</v>
      </c>
      <c r="P7" s="2">
        <f t="shared" si="1"/>
        <v>22232.929740932646</v>
      </c>
    </row>
    <row r="8" spans="1:16">
      <c r="A8" s="1" t="s">
        <v>4</v>
      </c>
      <c r="B8" s="4">
        <v>311</v>
      </c>
      <c r="C8" s="2">
        <v>3394412</v>
      </c>
      <c r="D8" s="2">
        <f>50460*12</f>
        <v>605520</v>
      </c>
      <c r="E8" s="2">
        <f>87248.18*6</f>
        <v>523489.07999999996</v>
      </c>
      <c r="F8" s="2"/>
      <c r="G8" s="2">
        <f>45216*2</f>
        <v>90432</v>
      </c>
      <c r="H8" s="2"/>
      <c r="I8" s="2">
        <v>2577</v>
      </c>
      <c r="J8" s="2">
        <v>3750</v>
      </c>
      <c r="K8" s="2">
        <f>1520*9</f>
        <v>13680</v>
      </c>
      <c r="L8" s="2"/>
      <c r="M8" s="2">
        <v>5400</v>
      </c>
      <c r="N8" s="2">
        <f>9345*9</f>
        <v>84105</v>
      </c>
      <c r="O8" s="2">
        <f t="shared" si="0"/>
        <v>4723365.08</v>
      </c>
      <c r="P8" s="2">
        <f t="shared" si="1"/>
        <v>15187.669067524115</v>
      </c>
    </row>
    <row r="9" spans="1:16">
      <c r="A9" s="1" t="s">
        <v>5</v>
      </c>
      <c r="B9" s="4">
        <v>271</v>
      </c>
      <c r="C9" s="2">
        <v>3957800</v>
      </c>
      <c r="D9" s="2">
        <f>39430*12</f>
        <v>473160</v>
      </c>
      <c r="E9" s="2">
        <f>140376.96*6</f>
        <v>842261.76</v>
      </c>
      <c r="F9" s="2"/>
      <c r="G9" s="2">
        <f>48025.2*2</f>
        <v>96050.4</v>
      </c>
      <c r="H9" s="2"/>
      <c r="I9" s="2">
        <v>2577</v>
      </c>
      <c r="J9" s="2">
        <v>3500</v>
      </c>
      <c r="K9" s="2"/>
      <c r="L9" s="2">
        <v>8716.6</v>
      </c>
      <c r="M9" s="2">
        <v>5400</v>
      </c>
      <c r="N9" s="2">
        <f>13345*9</f>
        <v>120105</v>
      </c>
      <c r="O9" s="2">
        <f t="shared" si="0"/>
        <v>5509570.7599999998</v>
      </c>
      <c r="P9" s="2">
        <f t="shared" si="1"/>
        <v>20330.519409594093</v>
      </c>
    </row>
    <row r="10" spans="1:16">
      <c r="A10" s="1" t="s">
        <v>6</v>
      </c>
      <c r="B10" s="4">
        <v>99</v>
      </c>
      <c r="C10" s="2">
        <v>2843218</v>
      </c>
      <c r="D10" s="2">
        <f>25800*12</f>
        <v>309600</v>
      </c>
      <c r="E10" s="2"/>
      <c r="F10" s="2"/>
      <c r="G10" s="2">
        <f>8038.3*2</f>
        <v>16076.6</v>
      </c>
      <c r="H10" s="2">
        <v>284186.95</v>
      </c>
      <c r="I10" s="2">
        <v>2577</v>
      </c>
      <c r="J10" s="2">
        <v>1916.67</v>
      </c>
      <c r="K10" s="2">
        <f>1140*9</f>
        <v>10260</v>
      </c>
      <c r="L10" s="2">
        <v>1888.6</v>
      </c>
      <c r="M10" s="2">
        <v>6600</v>
      </c>
      <c r="N10" s="2">
        <f>4626.5*9</f>
        <v>41638.5</v>
      </c>
      <c r="O10" s="2">
        <f t="shared" si="0"/>
        <v>3517962.3200000003</v>
      </c>
      <c r="P10" s="2">
        <f t="shared" si="1"/>
        <v>35534.972929292933</v>
      </c>
    </row>
    <row r="11" spans="1:16">
      <c r="A11" s="1" t="s">
        <v>7</v>
      </c>
      <c r="B11" s="4">
        <v>183</v>
      </c>
      <c r="C11" s="2">
        <v>3238970</v>
      </c>
      <c r="D11" s="2">
        <f>47800*12</f>
        <v>573600</v>
      </c>
      <c r="E11" s="2"/>
      <c r="F11" s="2"/>
      <c r="G11" s="2">
        <f>47857.8*2</f>
        <v>95715.6</v>
      </c>
      <c r="H11" s="2">
        <v>115066.28</v>
      </c>
      <c r="I11" s="2">
        <v>2577</v>
      </c>
      <c r="J11" s="2">
        <v>2083.34</v>
      </c>
      <c r="K11" s="2"/>
      <c r="L11" s="2"/>
      <c r="M11" s="2">
        <v>0</v>
      </c>
      <c r="N11" s="2">
        <f>8551*9</f>
        <v>76959</v>
      </c>
      <c r="O11" s="2">
        <f t="shared" si="0"/>
        <v>4104971.2199999997</v>
      </c>
      <c r="P11" s="2">
        <f t="shared" si="1"/>
        <v>22431.536721311473</v>
      </c>
    </row>
    <row r="12" spans="1:16">
      <c r="A12" s="1" t="s">
        <v>8</v>
      </c>
      <c r="B12" s="4">
        <v>188</v>
      </c>
      <c r="C12" s="2">
        <v>3194352</v>
      </c>
      <c r="D12" s="2">
        <f>33563</f>
        <v>33563</v>
      </c>
      <c r="E12" s="2"/>
      <c r="F12" s="2">
        <f>580.86*10</f>
        <v>5808.6</v>
      </c>
      <c r="G12" s="2">
        <f>30931.8*2</f>
        <v>61863.6</v>
      </c>
      <c r="H12" s="2">
        <v>147311.6</v>
      </c>
      <c r="I12" s="2">
        <v>2577</v>
      </c>
      <c r="J12" s="2">
        <v>1666.67</v>
      </c>
      <c r="K12" s="2">
        <f>2038.8*4</f>
        <v>8155.2</v>
      </c>
      <c r="L12" s="2"/>
      <c r="M12" s="2">
        <v>5400</v>
      </c>
      <c r="N12" s="2">
        <f>13144*9</f>
        <v>118296</v>
      </c>
      <c r="O12" s="2">
        <f t="shared" si="0"/>
        <v>3578993.6700000004</v>
      </c>
      <c r="P12" s="2">
        <f t="shared" si="1"/>
        <v>19037.200372340427</v>
      </c>
    </row>
    <row r="13" spans="1:16">
      <c r="A13" s="1" t="s">
        <v>9</v>
      </c>
      <c r="B13" s="4">
        <v>203</v>
      </c>
      <c r="C13" s="2">
        <v>3210634</v>
      </c>
      <c r="D13" s="2">
        <f>37406.05*12</f>
        <v>448872.60000000003</v>
      </c>
      <c r="E13" s="2">
        <f>100445.17*6</f>
        <v>602671.02</v>
      </c>
      <c r="F13" s="2"/>
      <c r="G13" s="2">
        <f>31229.4*2</f>
        <v>62458.8</v>
      </c>
      <c r="H13" s="2"/>
      <c r="I13" s="2">
        <v>2577</v>
      </c>
      <c r="J13" s="2">
        <v>2375</v>
      </c>
      <c r="K13" s="2"/>
      <c r="L13" s="2"/>
      <c r="M13" s="2">
        <v>5400</v>
      </c>
      <c r="N13" s="2">
        <f>3192*9</f>
        <v>28728</v>
      </c>
      <c r="O13" s="2">
        <f t="shared" si="0"/>
        <v>4363716.42</v>
      </c>
      <c r="P13" s="2">
        <f t="shared" si="1"/>
        <v>21496.14</v>
      </c>
    </row>
    <row r="14" spans="1:16">
      <c r="A14" s="1" t="s">
        <v>10</v>
      </c>
      <c r="B14" s="4">
        <v>473</v>
      </c>
      <c r="C14" s="2">
        <v>6230000</v>
      </c>
      <c r="D14" s="2">
        <f>60215*12</f>
        <v>722580</v>
      </c>
      <c r="E14" s="2">
        <f>191068.64*6</f>
        <v>1146411.8400000001</v>
      </c>
      <c r="F14" s="2">
        <f>3156*10</f>
        <v>31560</v>
      </c>
      <c r="G14" s="2">
        <f>100991.8*2</f>
        <v>201983.6</v>
      </c>
      <c r="H14" s="2"/>
      <c r="I14" s="2">
        <v>2577</v>
      </c>
      <c r="J14" s="2">
        <v>3500</v>
      </c>
      <c r="K14" s="2"/>
      <c r="L14" s="2">
        <v>3777.2</v>
      </c>
      <c r="M14" s="2">
        <v>0</v>
      </c>
      <c r="N14" s="2">
        <f>17934*9</f>
        <v>161406</v>
      </c>
      <c r="O14" s="2">
        <f t="shared" si="0"/>
        <v>8503795.6400000006</v>
      </c>
      <c r="P14" s="2">
        <f t="shared" si="1"/>
        <v>17978.426300211417</v>
      </c>
    </row>
    <row r="15" spans="1:16">
      <c r="A15" s="1" t="s">
        <v>11</v>
      </c>
      <c r="B15" s="4">
        <v>851</v>
      </c>
      <c r="C15" s="2">
        <v>9130226</v>
      </c>
      <c r="D15" s="2">
        <f>119720.48*12</f>
        <v>1436645.76</v>
      </c>
      <c r="E15" s="2">
        <f>125364.42*6</f>
        <v>752186.52</v>
      </c>
      <c r="F15" s="2">
        <f>2739.67*10</f>
        <v>27396.7</v>
      </c>
      <c r="G15" s="2">
        <f>60003.6*2</f>
        <v>120007.2</v>
      </c>
      <c r="H15" s="2"/>
      <c r="I15" s="2">
        <v>2577</v>
      </c>
      <c r="J15" s="2">
        <v>3500</v>
      </c>
      <c r="K15" s="2"/>
      <c r="L15" s="2">
        <f>1762.76*9</f>
        <v>15864.84</v>
      </c>
      <c r="M15" s="2">
        <v>0</v>
      </c>
      <c r="N15" s="2">
        <f>18375*9</f>
        <v>165375</v>
      </c>
      <c r="O15" s="2">
        <f t="shared" si="0"/>
        <v>11653779.019999998</v>
      </c>
      <c r="P15" s="2">
        <f t="shared" si="1"/>
        <v>13694.217414806108</v>
      </c>
    </row>
    <row r="16" spans="1:16">
      <c r="A16" s="1" t="s">
        <v>12</v>
      </c>
      <c r="B16" s="4">
        <v>155</v>
      </c>
      <c r="C16" s="2">
        <v>1909390</v>
      </c>
      <c r="D16" s="2">
        <f>26465*12</f>
        <v>317580</v>
      </c>
      <c r="E16" s="2">
        <f>81106.69*5</f>
        <v>405533.45</v>
      </c>
      <c r="F16" s="2">
        <v>72352.259999999995</v>
      </c>
      <c r="G16" s="2">
        <f>28563.4*2</f>
        <v>57126.8</v>
      </c>
      <c r="H16" s="2"/>
      <c r="I16" s="2">
        <f>1020+2577</f>
        <v>3597</v>
      </c>
      <c r="J16" s="2">
        <v>2666.67</v>
      </c>
      <c r="K16" s="2">
        <v>17100</v>
      </c>
      <c r="L16" s="2"/>
      <c r="M16" s="2">
        <v>5400</v>
      </c>
      <c r="N16" s="2">
        <f>5208*9</f>
        <v>46872</v>
      </c>
      <c r="O16" s="2">
        <f t="shared" si="0"/>
        <v>2837618.1799999997</v>
      </c>
      <c r="P16" s="2">
        <f t="shared" si="1"/>
        <v>18307.214064516127</v>
      </c>
    </row>
    <row r="17" spans="1:16">
      <c r="A17" s="1" t="s">
        <v>13</v>
      </c>
      <c r="B17" s="4">
        <v>105</v>
      </c>
      <c r="C17" s="2">
        <v>2446542</v>
      </c>
      <c r="D17" s="2">
        <f>24810*12</f>
        <v>297720</v>
      </c>
      <c r="E17" s="2"/>
      <c r="F17" s="2"/>
      <c r="G17" s="2">
        <f>13547*2</f>
        <v>27094</v>
      </c>
      <c r="H17" s="2">
        <v>146843.31</v>
      </c>
      <c r="I17" s="2">
        <v>2577</v>
      </c>
      <c r="J17" s="2">
        <v>1458.33</v>
      </c>
      <c r="K17" s="2"/>
      <c r="L17" s="2"/>
      <c r="M17" s="2">
        <v>5400</v>
      </c>
      <c r="N17" s="2">
        <f>5481*9</f>
        <v>49329</v>
      </c>
      <c r="O17" s="2">
        <f t="shared" si="0"/>
        <v>2976963.64</v>
      </c>
      <c r="P17" s="2">
        <f t="shared" si="1"/>
        <v>28352.034666666666</v>
      </c>
    </row>
    <row r="18" spans="1:16">
      <c r="A18" s="1" t="s">
        <v>14</v>
      </c>
      <c r="B18" s="4">
        <v>113</v>
      </c>
      <c r="C18" s="2">
        <v>2229696</v>
      </c>
      <c r="D18" s="2">
        <f>45619.08*12</f>
        <v>547428.96</v>
      </c>
      <c r="E18" s="2">
        <f>124779.52*6</f>
        <v>748677.12</v>
      </c>
      <c r="F18" s="2"/>
      <c r="G18" s="2">
        <f>41372.6*2</f>
        <v>82745.2</v>
      </c>
      <c r="H18" s="2"/>
      <c r="I18" s="2">
        <v>2577</v>
      </c>
      <c r="J18" s="2">
        <v>2666.67</v>
      </c>
      <c r="K18" s="2">
        <f>3420*9</f>
        <v>30780</v>
      </c>
      <c r="L18" s="2"/>
      <c r="M18" s="2">
        <v>5400</v>
      </c>
      <c r="N18" s="2">
        <f>2658*9</f>
        <v>23922</v>
      </c>
      <c r="O18" s="2">
        <f t="shared" si="0"/>
        <v>3673892.95</v>
      </c>
      <c r="P18" s="2">
        <f t="shared" si="1"/>
        <v>32512.326991150443</v>
      </c>
    </row>
    <row r="19" spans="1:16">
      <c r="A19" s="1" t="s">
        <v>15</v>
      </c>
      <c r="B19" s="4">
        <v>99</v>
      </c>
      <c r="C19" s="2">
        <v>2094316</v>
      </c>
      <c r="D19" s="2">
        <f>33370*12</f>
        <v>400440</v>
      </c>
      <c r="E19" s="2">
        <f>124779.52*6</f>
        <v>748677.12</v>
      </c>
      <c r="F19" s="2"/>
      <c r="G19" s="2">
        <f>30116.5*2</f>
        <v>60233</v>
      </c>
      <c r="H19" s="2"/>
      <c r="I19" s="2">
        <v>2577</v>
      </c>
      <c r="J19" s="2">
        <v>3291.67</v>
      </c>
      <c r="K19" s="2"/>
      <c r="L19" s="2">
        <v>1888.6</v>
      </c>
      <c r="M19" s="2">
        <v>5400</v>
      </c>
      <c r="N19" s="2">
        <f>2561*9</f>
        <v>23049</v>
      </c>
      <c r="O19" s="2">
        <f t="shared" si="0"/>
        <v>3339872.39</v>
      </c>
      <c r="P19" s="2">
        <f t="shared" si="1"/>
        <v>33736.08474747475</v>
      </c>
    </row>
    <row r="20" spans="1:16">
      <c r="A20" s="1" t="s">
        <v>16</v>
      </c>
      <c r="B20" s="4">
        <v>146</v>
      </c>
      <c r="C20" s="2">
        <v>2199470</v>
      </c>
      <c r="D20" s="2">
        <f>11680*12</f>
        <v>140160</v>
      </c>
      <c r="E20" s="2"/>
      <c r="F20" s="2"/>
      <c r="G20" s="2">
        <f>3751*2</f>
        <v>7502</v>
      </c>
      <c r="H20" s="2">
        <v>67902.490000000005</v>
      </c>
      <c r="I20" s="2">
        <v>2577</v>
      </c>
      <c r="J20" s="2">
        <v>3291.67</v>
      </c>
      <c r="K20" s="2"/>
      <c r="L20" s="2"/>
      <c r="M20" s="2">
        <v>5400</v>
      </c>
      <c r="N20" s="2">
        <f>4788*9</f>
        <v>43092</v>
      </c>
      <c r="O20" s="2">
        <f t="shared" si="0"/>
        <v>2469395.16</v>
      </c>
      <c r="P20" s="2">
        <f t="shared" si="1"/>
        <v>16913.665479452055</v>
      </c>
    </row>
    <row r="21" spans="1:16">
      <c r="A21" s="1" t="s">
        <v>17</v>
      </c>
      <c r="B21" s="4">
        <v>61</v>
      </c>
      <c r="C21" s="2">
        <v>1876000</v>
      </c>
      <c r="D21" s="2">
        <f>21220*12</f>
        <v>254640</v>
      </c>
      <c r="E21" s="2"/>
      <c r="F21" s="2"/>
      <c r="G21" s="2">
        <f>9172.9*2</f>
        <v>18345.8</v>
      </c>
      <c r="H21" s="2">
        <v>192802.92</v>
      </c>
      <c r="I21" s="2">
        <f>2577+2040</f>
        <v>4617</v>
      </c>
      <c r="J21" s="2">
        <v>1166.6600000000001</v>
      </c>
      <c r="K21" s="2">
        <f>1140*9</f>
        <v>10260</v>
      </c>
      <c r="L21" s="2"/>
      <c r="M21" s="2">
        <v>5400</v>
      </c>
      <c r="N21" s="2">
        <f>6594*9</f>
        <v>59346</v>
      </c>
      <c r="O21" s="2">
        <f t="shared" si="0"/>
        <v>2422578.38</v>
      </c>
      <c r="P21" s="2">
        <f t="shared" si="1"/>
        <v>39714.399672131149</v>
      </c>
    </row>
    <row r="22" spans="1:16">
      <c r="A22" s="1" t="s">
        <v>18</v>
      </c>
      <c r="B22" s="4">
        <v>148</v>
      </c>
      <c r="C22" s="2">
        <v>2166402</v>
      </c>
      <c r="D22" s="2">
        <f>16690*12</f>
        <v>200280</v>
      </c>
      <c r="E22" s="2"/>
      <c r="F22" s="2"/>
      <c r="G22" s="2">
        <f>7002.9*2</f>
        <v>14005.8</v>
      </c>
      <c r="H22" s="2">
        <v>102288.57</v>
      </c>
      <c r="I22" s="2">
        <v>2577</v>
      </c>
      <c r="J22" s="2">
        <v>1000</v>
      </c>
      <c r="K22" s="2"/>
      <c r="L22" s="2">
        <v>5665.8</v>
      </c>
      <c r="M22" s="2">
        <v>5400</v>
      </c>
      <c r="N22" s="2">
        <f>2352*9</f>
        <v>21168</v>
      </c>
      <c r="O22" s="2">
        <f t="shared" si="0"/>
        <v>2518787.1699999995</v>
      </c>
      <c r="P22" s="2">
        <f t="shared" si="1"/>
        <v>17018.832229729727</v>
      </c>
    </row>
    <row r="23" spans="1:16">
      <c r="A23" s="1" t="s">
        <v>19</v>
      </c>
      <c r="B23" s="4">
        <v>91</v>
      </c>
      <c r="C23" s="2">
        <v>2171316</v>
      </c>
      <c r="D23" s="2">
        <f>22346*12</f>
        <v>268152</v>
      </c>
      <c r="E23" s="2"/>
      <c r="F23" s="2"/>
      <c r="G23" s="2">
        <f>19883.4*2</f>
        <v>39766.800000000003</v>
      </c>
      <c r="H23" s="2">
        <v>41611.199999999997</v>
      </c>
      <c r="I23" s="2">
        <v>2577</v>
      </c>
      <c r="J23" s="2">
        <v>3291.67</v>
      </c>
      <c r="K23" s="2">
        <f>1629.24*4</f>
        <v>6516.96</v>
      </c>
      <c r="L23" s="2">
        <v>2832.9</v>
      </c>
      <c r="M23" s="2">
        <v>5400</v>
      </c>
      <c r="N23" s="2">
        <f>5230*9</f>
        <v>47070</v>
      </c>
      <c r="O23" s="2">
        <f t="shared" si="0"/>
        <v>2588534.5299999998</v>
      </c>
      <c r="P23" s="2">
        <f t="shared" si="1"/>
        <v>28445.434395604392</v>
      </c>
    </row>
    <row r="24" spans="1:16">
      <c r="A24" s="1" t="s">
        <v>20</v>
      </c>
      <c r="B24" s="4">
        <v>191</v>
      </c>
      <c r="C24" s="2">
        <v>2515814</v>
      </c>
      <c r="D24" s="2">
        <f>24150*12</f>
        <v>289800</v>
      </c>
      <c r="E24" s="2"/>
      <c r="F24" s="2">
        <f>995.76*10</f>
        <v>9957.6</v>
      </c>
      <c r="G24" s="2">
        <f>6556.5*2</f>
        <v>13113</v>
      </c>
      <c r="H24" s="2">
        <v>119883</v>
      </c>
      <c r="I24" s="2">
        <v>2577</v>
      </c>
      <c r="J24" s="2">
        <v>1666.67</v>
      </c>
      <c r="K24" s="2"/>
      <c r="L24" s="2"/>
      <c r="M24" s="2">
        <v>5400</v>
      </c>
      <c r="N24" s="2">
        <f>3339*9</f>
        <v>30051</v>
      </c>
      <c r="O24" s="2">
        <f t="shared" si="0"/>
        <v>2988262.27</v>
      </c>
      <c r="P24" s="2">
        <f t="shared" si="1"/>
        <v>15645.35219895288</v>
      </c>
    </row>
    <row r="25" spans="1:16">
      <c r="A25" s="1" t="s">
        <v>21</v>
      </c>
      <c r="B25" s="4">
        <v>162</v>
      </c>
      <c r="C25" s="2">
        <v>2296000</v>
      </c>
      <c r="D25" s="2">
        <f>40720*12</f>
        <v>488640</v>
      </c>
      <c r="E25" s="2"/>
      <c r="F25" s="2"/>
      <c r="G25" s="2">
        <f>28727.7*2</f>
        <v>57455.4</v>
      </c>
      <c r="H25" s="2"/>
      <c r="I25" s="2">
        <v>2577</v>
      </c>
      <c r="J25" s="2">
        <v>3041.67</v>
      </c>
      <c r="K25" s="2"/>
      <c r="L25" s="2">
        <v>8716.6</v>
      </c>
      <c r="M25" s="2">
        <v>5400</v>
      </c>
      <c r="N25" s="2">
        <f>4172*9</f>
        <v>37548</v>
      </c>
      <c r="O25" s="2">
        <f t="shared" si="0"/>
        <v>2899378.67</v>
      </c>
      <c r="P25" s="2">
        <f t="shared" si="1"/>
        <v>17897.399197530864</v>
      </c>
    </row>
    <row r="26" spans="1:16">
      <c r="A26" s="1" t="s">
        <v>22</v>
      </c>
      <c r="B26" s="4">
        <v>144</v>
      </c>
      <c r="C26" s="2">
        <v>2143400</v>
      </c>
      <c r="D26" s="2">
        <f>15780*12</f>
        <v>189360</v>
      </c>
      <c r="E26" s="2">
        <f>20647.11*6</f>
        <v>123882.66</v>
      </c>
      <c r="F26" s="2"/>
      <c r="G26" s="2">
        <f>8094.1*2</f>
        <v>16188.2</v>
      </c>
      <c r="H26" s="2"/>
      <c r="I26" s="2">
        <v>2577</v>
      </c>
      <c r="J26" s="2">
        <v>1916.67</v>
      </c>
      <c r="K26" s="2"/>
      <c r="L26" s="2"/>
      <c r="M26" s="2">
        <v>5400</v>
      </c>
      <c r="N26" s="2">
        <f>4431*9</f>
        <v>39879</v>
      </c>
      <c r="O26" s="2">
        <f t="shared" si="0"/>
        <v>2522603.5300000003</v>
      </c>
      <c r="P26" s="2">
        <f t="shared" si="1"/>
        <v>17518.080069444448</v>
      </c>
    </row>
    <row r="27" spans="1:16">
      <c r="A27" s="1" t="s">
        <v>23</v>
      </c>
      <c r="B27" s="4">
        <v>39</v>
      </c>
      <c r="C27" s="2">
        <v>639338</v>
      </c>
      <c r="D27" s="2">
        <f>2492*12</f>
        <v>29904</v>
      </c>
      <c r="E27" s="2"/>
      <c r="F27" s="2"/>
      <c r="G27" s="2">
        <f>2635*2</f>
        <v>5270</v>
      </c>
      <c r="H27" s="2">
        <v>19265</v>
      </c>
      <c r="I27" s="2">
        <v>2577</v>
      </c>
      <c r="J27" s="2">
        <v>0</v>
      </c>
      <c r="K27" s="2"/>
      <c r="L27" s="2"/>
      <c r="M27" s="2">
        <v>0</v>
      </c>
      <c r="N27" s="2">
        <v>0</v>
      </c>
      <c r="O27" s="2">
        <f t="shared" si="0"/>
        <v>696354</v>
      </c>
      <c r="P27" s="2">
        <f t="shared" si="1"/>
        <v>17855.23076923077</v>
      </c>
    </row>
    <row r="28" spans="1:16">
      <c r="A28" s="1" t="s">
        <v>24</v>
      </c>
      <c r="B28" s="4">
        <v>8</v>
      </c>
      <c r="C28" s="2">
        <v>133826</v>
      </c>
      <c r="D28" s="2">
        <f>2750*12</f>
        <v>33000</v>
      </c>
      <c r="E28" s="2"/>
      <c r="F28" s="2"/>
      <c r="G28" s="2">
        <f>145.7*2</f>
        <v>291.39999999999998</v>
      </c>
      <c r="H28" s="2"/>
      <c r="I28" s="2">
        <f>2577+900</f>
        <v>3477</v>
      </c>
      <c r="J28" s="2">
        <v>0</v>
      </c>
      <c r="K28" s="2"/>
      <c r="L28" s="2"/>
      <c r="M28" s="2">
        <v>0</v>
      </c>
      <c r="N28" s="2">
        <v>0</v>
      </c>
      <c r="O28" s="2">
        <f t="shared" si="0"/>
        <v>170594.4</v>
      </c>
      <c r="P28" s="2">
        <f t="shared" si="1"/>
        <v>21324.3</v>
      </c>
    </row>
    <row r="29" spans="1:16">
      <c r="A29" s="1" t="s">
        <v>25</v>
      </c>
      <c r="B29" s="4">
        <v>11</v>
      </c>
      <c r="C29" s="2">
        <v>379050</v>
      </c>
      <c r="D29" s="2">
        <f>3407*12</f>
        <v>40884</v>
      </c>
      <c r="E29" s="2"/>
      <c r="F29" s="2"/>
      <c r="G29" s="2">
        <f>310*2</f>
        <v>620</v>
      </c>
      <c r="H29" s="2">
        <v>38868.32</v>
      </c>
      <c r="I29" s="2">
        <v>2577</v>
      </c>
      <c r="J29" s="2">
        <v>0</v>
      </c>
      <c r="K29" s="2"/>
      <c r="L29" s="2"/>
      <c r="M29" s="2">
        <v>0</v>
      </c>
      <c r="N29" s="2">
        <v>0</v>
      </c>
      <c r="O29" s="2">
        <f t="shared" si="0"/>
        <v>461999.32</v>
      </c>
      <c r="P29" s="2">
        <f t="shared" si="1"/>
        <v>41999.938181818179</v>
      </c>
    </row>
    <row r="30" spans="1:16" s="11" customFormat="1" ht="21.75" customHeight="1">
      <c r="A30" s="12" t="s">
        <v>36</v>
      </c>
      <c r="B30" s="9">
        <f t="shared" ref="B30:P30" si="2">SUM(B4:B29)</f>
        <v>4820</v>
      </c>
      <c r="C30" s="10">
        <f t="shared" si="2"/>
        <v>73709272</v>
      </c>
      <c r="D30" s="10">
        <f t="shared" si="2"/>
        <v>9851622.3200000003</v>
      </c>
      <c r="E30" s="10">
        <f t="shared" si="2"/>
        <v>7763216.6300000018</v>
      </c>
      <c r="F30" s="10">
        <f t="shared" si="2"/>
        <v>153345.16</v>
      </c>
      <c r="G30" s="10">
        <f t="shared" si="2"/>
        <v>1393454.9999999998</v>
      </c>
      <c r="H30" s="10">
        <f t="shared" si="2"/>
        <v>1371427.61</v>
      </c>
      <c r="I30" s="10">
        <f t="shared" si="2"/>
        <v>70962</v>
      </c>
      <c r="J30" s="10">
        <f t="shared" si="2"/>
        <v>57208.369999999995</v>
      </c>
      <c r="K30" s="10">
        <f t="shared" si="2"/>
        <v>119087.1</v>
      </c>
      <c r="L30" s="10">
        <f t="shared" si="2"/>
        <v>53128.340000000004</v>
      </c>
      <c r="M30" s="10">
        <f t="shared" si="2"/>
        <v>110400</v>
      </c>
      <c r="N30" s="10">
        <f t="shared" si="2"/>
        <v>1427449.5</v>
      </c>
      <c r="O30" s="10">
        <f t="shared" si="2"/>
        <v>96080574.029999986</v>
      </c>
      <c r="P30" s="10">
        <f t="shared" si="2"/>
        <v>605091.54124775028</v>
      </c>
    </row>
    <row r="31" spans="1:16" ht="29.25" customHeight="1"/>
  </sheetData>
  <mergeCells count="10">
    <mergeCell ref="P2:P3"/>
    <mergeCell ref="O2:O3"/>
    <mergeCell ref="A1:P1"/>
    <mergeCell ref="A2:A3"/>
    <mergeCell ref="N2:N3"/>
    <mergeCell ref="M2:M3"/>
    <mergeCell ref="E2:H2"/>
    <mergeCell ref="I2:L2"/>
    <mergeCell ref="C2:D2"/>
    <mergeCell ref="B2:B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StandartPK</cp:lastModifiedBy>
  <cp:lastPrinted>2020-02-12T12:22:54Z</cp:lastPrinted>
  <dcterms:created xsi:type="dcterms:W3CDTF">2019-06-05T07:55:53Z</dcterms:created>
  <dcterms:modified xsi:type="dcterms:W3CDTF">2020-02-12T12:23:18Z</dcterms:modified>
</cp:coreProperties>
</file>